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5390" windowHeight="7425"/>
  </bookViews>
  <sheets>
    <sheet name="Sheet1" sheetId="1" r:id="rId1"/>
    <sheet name="Sheet3" sheetId="3" r:id="rId2"/>
  </sheets>
  <definedNames>
    <definedName name="_xlnm.Print_Area" localSheetId="0">Sheet1!$A$1:$G$45</definedName>
  </definedNames>
  <calcPr calcId="125725"/>
</workbook>
</file>

<file path=xl/calcChain.xml><?xml version="1.0" encoding="utf-8"?>
<calcChain xmlns="http://schemas.openxmlformats.org/spreadsheetml/2006/main">
  <c r="B35" i="1"/>
  <c r="B15" l="1"/>
  <c r="F14"/>
  <c r="B17" s="1"/>
  <c r="C14"/>
  <c r="F12"/>
  <c r="B36"/>
  <c r="B20"/>
  <c r="F17"/>
  <c r="F11"/>
  <c r="F45" l="1"/>
  <c r="B21"/>
  <c r="F20" s="1"/>
  <c r="F13"/>
  <c r="B42" s="1"/>
  <c r="F19"/>
  <c r="F18" s="1"/>
  <c r="F28" l="1"/>
  <c r="F21"/>
  <c r="B18"/>
  <c r="B22"/>
  <c r="B27" l="1"/>
  <c r="B28" s="1"/>
  <c r="B29" s="1"/>
  <c r="B32"/>
  <c r="B33" s="1"/>
  <c r="B25"/>
  <c r="F27"/>
  <c r="B19"/>
  <c r="B23" s="1"/>
  <c r="B45" l="1"/>
  <c r="F38" l="1"/>
  <c r="F39" s="1"/>
</calcChain>
</file>

<file path=xl/comments1.xml><?xml version="1.0" encoding="utf-8"?>
<comments xmlns="http://schemas.openxmlformats.org/spreadsheetml/2006/main">
  <authors>
    <author>作者</author>
  </authors>
  <commentList>
    <comment ref="B12" authorId="0">
      <text>
        <r>
          <rPr>
            <b/>
            <sz val="9"/>
            <color indexed="81"/>
            <rFont val="宋体"/>
            <charset val="134"/>
          </rPr>
          <t>作者</t>
        </r>
        <r>
          <rPr>
            <b/>
            <sz val="9"/>
            <color indexed="81"/>
            <rFont val="Tahoma"/>
            <family val="2"/>
          </rPr>
          <t>:
Dmax</t>
        </r>
        <r>
          <rPr>
            <b/>
            <sz val="9"/>
            <color indexed="81"/>
            <rFont val="宋体"/>
            <charset val="134"/>
          </rPr>
          <t>最大值需小于</t>
        </r>
        <r>
          <rPr>
            <b/>
            <sz val="9"/>
            <color indexed="81"/>
            <rFont val="Tahoma"/>
            <family val="2"/>
          </rPr>
          <t>42%</t>
        </r>
        <r>
          <rPr>
            <b/>
            <sz val="9"/>
            <color indexed="81"/>
            <rFont val="宋体"/>
            <charset val="134"/>
          </rPr>
          <t>，具体见“</t>
        </r>
        <r>
          <rPr>
            <b/>
            <sz val="9"/>
            <color indexed="81"/>
            <rFont val="Tahoma"/>
            <family val="2"/>
          </rPr>
          <t>BP310x PSR</t>
        </r>
        <r>
          <rPr>
            <b/>
            <sz val="9"/>
            <color indexed="81"/>
            <rFont val="宋体"/>
            <charset val="134"/>
          </rPr>
          <t>恒流原理示意图”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宋体"/>
            <charset val="134"/>
          </rPr>
          <t>作者</t>
        </r>
        <r>
          <rPr>
            <b/>
            <sz val="9"/>
            <color indexed="81"/>
            <rFont val="Tahoma"/>
            <family val="2"/>
          </rPr>
          <t>:
PPFC</t>
        </r>
        <r>
          <rPr>
            <b/>
            <sz val="9"/>
            <color indexed="81"/>
            <rFont val="宋体"/>
            <family val="3"/>
            <charset val="134"/>
          </rPr>
          <t xml:space="preserve">指填谷式功率因数校正电路，即
无源功率因数校正电路
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 xml:space="preserve">BPS:
</t>
        </r>
        <r>
          <rPr>
            <b/>
            <sz val="9"/>
            <color indexed="81"/>
            <rFont val="宋体"/>
            <family val="3"/>
            <charset val="134"/>
          </rPr>
          <t>以下为各</t>
        </r>
        <r>
          <rPr>
            <b/>
            <sz val="9"/>
            <color indexed="81"/>
            <rFont val="Tahoma"/>
            <family val="2"/>
          </rPr>
          <t>PC40</t>
        </r>
        <r>
          <rPr>
            <b/>
            <sz val="9"/>
            <color indexed="81"/>
            <rFont val="宋体"/>
            <family val="3"/>
            <charset val="134"/>
          </rPr>
          <t>材质磁芯</t>
        </r>
        <r>
          <rPr>
            <b/>
            <sz val="9"/>
            <color indexed="81"/>
            <rFont val="Tahoma"/>
            <family val="2"/>
          </rPr>
          <t>Ae</t>
        </r>
        <r>
          <rPr>
            <b/>
            <sz val="9"/>
            <color indexed="81"/>
            <rFont val="宋体"/>
            <family val="3"/>
            <charset val="134"/>
          </rPr>
          <t xml:space="preserve">值（供参考）
</t>
        </r>
        <r>
          <rPr>
            <b/>
            <sz val="9"/>
            <color indexed="81"/>
            <rFont val="Tahoma"/>
            <family val="2"/>
          </rPr>
          <t xml:space="preserve">EE10=0.11     EE13=0.171
EE16=0.195   EE19=0.223
EE20=0.32     EE25=0.518
EPC13=0.124 EPC17=0.202
EFD15=0.15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 xml:space="preserve">BPS:
</t>
        </r>
        <r>
          <rPr>
            <b/>
            <sz val="9"/>
            <color indexed="81"/>
            <rFont val="宋体"/>
            <family val="3"/>
            <charset val="134"/>
          </rPr>
          <t>该值与</t>
        </r>
        <r>
          <rPr>
            <b/>
            <sz val="9"/>
            <color indexed="81"/>
            <rFont val="Tahoma"/>
            <family val="2"/>
          </rPr>
          <t>B26</t>
        </r>
        <r>
          <rPr>
            <b/>
            <sz val="9"/>
            <color indexed="81"/>
            <rFont val="宋体"/>
            <family val="3"/>
            <charset val="134"/>
          </rPr>
          <t>单元格批注里相对应便可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<sst xmlns="http://schemas.openxmlformats.org/spreadsheetml/2006/main" count="113" uniqueCount="93">
  <si>
    <t>Design Spec.</t>
    <phoneticPr fontId="1" type="noConversion"/>
  </si>
  <si>
    <t xml:space="preserve">LED Load Spec. </t>
    <phoneticPr fontId="1" type="noConversion"/>
  </si>
  <si>
    <t>输入频率@Vinmin_Fin=</t>
    <phoneticPr fontId="1" type="noConversion"/>
  </si>
  <si>
    <t>最大输入电压_Vinmax=</t>
    <phoneticPr fontId="1" type="noConversion"/>
  </si>
  <si>
    <t>最小输入电压_Vinmin=</t>
    <phoneticPr fontId="1" type="noConversion"/>
  </si>
  <si>
    <t>LED单颗平均电压_Vled=</t>
    <phoneticPr fontId="1" type="noConversion"/>
  </si>
  <si>
    <t>LED单颗平均电流_Iled=</t>
    <phoneticPr fontId="1" type="noConversion"/>
  </si>
  <si>
    <t>LED串联数量_Qsled=</t>
    <phoneticPr fontId="1" type="noConversion"/>
  </si>
  <si>
    <t>LED并联数量_Qpled=</t>
    <phoneticPr fontId="1" type="noConversion"/>
  </si>
  <si>
    <t>电源输出电压_Vout=</t>
    <phoneticPr fontId="1" type="noConversion"/>
  </si>
  <si>
    <t>电源输出电流_Iout=</t>
    <phoneticPr fontId="1" type="noConversion"/>
  </si>
  <si>
    <t>Vdc</t>
    <phoneticPr fontId="1" type="noConversion"/>
  </si>
  <si>
    <t>Vac</t>
    <phoneticPr fontId="1" type="noConversion"/>
  </si>
  <si>
    <t>Hz</t>
    <phoneticPr fontId="1" type="noConversion"/>
  </si>
  <si>
    <t>mA</t>
    <phoneticPr fontId="1" type="noConversion"/>
  </si>
  <si>
    <t>Khz</t>
    <phoneticPr fontId="1" type="noConversion"/>
  </si>
  <si>
    <t>系统工作频率@Voutmax_Fsw=</t>
    <phoneticPr fontId="1" type="noConversion"/>
  </si>
  <si>
    <t>%</t>
    <phoneticPr fontId="1" type="noConversion"/>
  </si>
  <si>
    <r>
      <t>输入电容纹波电压_</t>
    </r>
    <r>
      <rPr>
        <sz val="11"/>
        <color indexed="8"/>
        <rFont val="宋体"/>
        <charset val="134"/>
      </rPr>
      <t>Δ</t>
    </r>
    <r>
      <rPr>
        <sz val="11"/>
        <color indexed="8"/>
        <rFont val="宋体"/>
        <charset val="134"/>
      </rPr>
      <t>V</t>
    </r>
    <r>
      <rPr>
        <sz val="8"/>
        <color indexed="8"/>
        <rFont val="宋体"/>
        <charset val="134"/>
      </rPr>
      <t>CE</t>
    </r>
    <r>
      <rPr>
        <sz val="11"/>
        <color indexed="8"/>
        <rFont val="宋体"/>
        <charset val="134"/>
      </rPr>
      <t>=</t>
    </r>
    <phoneticPr fontId="1" type="noConversion"/>
  </si>
  <si>
    <t>最大母线电压_Vbulkmax=</t>
    <phoneticPr fontId="1" type="noConversion"/>
  </si>
  <si>
    <t>最小母线电压_Vbulkmin=</t>
    <phoneticPr fontId="1" type="noConversion"/>
  </si>
  <si>
    <t>电源输出功率_Pout=</t>
    <phoneticPr fontId="1" type="noConversion"/>
  </si>
  <si>
    <t>开关管最大开通时间_Tonmax=</t>
    <phoneticPr fontId="1" type="noConversion"/>
  </si>
  <si>
    <r>
      <t>变压器初次级匝比_N</t>
    </r>
    <r>
      <rPr>
        <sz val="8"/>
        <color indexed="8"/>
        <rFont val="宋体"/>
        <charset val="134"/>
      </rPr>
      <t>PS</t>
    </r>
    <r>
      <rPr>
        <sz val="14"/>
        <color indexed="8"/>
        <rFont val="宋体"/>
        <charset val="134"/>
      </rPr>
      <t>=</t>
    </r>
    <phoneticPr fontId="1" type="noConversion"/>
  </si>
  <si>
    <t>次级绕组峰值电流_Ispk=</t>
    <phoneticPr fontId="1" type="noConversion"/>
  </si>
  <si>
    <t>次级绕组电流有效值_Isrms=</t>
    <phoneticPr fontId="1" type="noConversion"/>
  </si>
  <si>
    <t>初级绕组峰值电流_Ippk=</t>
    <phoneticPr fontId="1" type="noConversion"/>
  </si>
  <si>
    <t>初级绕组电流有效值_Iprms=</t>
    <phoneticPr fontId="1" type="noConversion"/>
  </si>
  <si>
    <t>变压器初级电感量_Lp=</t>
    <phoneticPr fontId="1" type="noConversion"/>
  </si>
  <si>
    <t>mH</t>
    <phoneticPr fontId="1" type="noConversion"/>
  </si>
  <si>
    <t>实际选用初级电感量_Lp=</t>
    <phoneticPr fontId="1" type="noConversion"/>
  </si>
  <si>
    <t>选用变压器的型号_Ttype=</t>
    <phoneticPr fontId="1" type="noConversion"/>
  </si>
  <si>
    <t>Vdc</t>
    <phoneticPr fontId="1" type="noConversion"/>
  </si>
  <si>
    <t>mA</t>
    <phoneticPr fontId="1" type="noConversion"/>
  </si>
  <si>
    <t>Pcs</t>
    <phoneticPr fontId="1" type="noConversion"/>
  </si>
  <si>
    <t>Walt</t>
    <phoneticPr fontId="1" type="noConversion"/>
  </si>
  <si>
    <t>mH</t>
    <phoneticPr fontId="1" type="noConversion"/>
  </si>
  <si>
    <t>c㎡</t>
    <phoneticPr fontId="1" type="noConversion"/>
  </si>
  <si>
    <t>初级绕组的匝数_Np=</t>
    <phoneticPr fontId="1" type="noConversion"/>
  </si>
  <si>
    <t>Ts</t>
    <phoneticPr fontId="1" type="noConversion"/>
  </si>
  <si>
    <t>初级绕组线径_Dp=</t>
    <phoneticPr fontId="1" type="noConversion"/>
  </si>
  <si>
    <t>mm</t>
    <phoneticPr fontId="1" type="noConversion"/>
  </si>
  <si>
    <t>次级绕组的匝数_Ns=</t>
    <phoneticPr fontId="1" type="noConversion"/>
  </si>
  <si>
    <t>次级绕组线径_Ds=</t>
    <phoneticPr fontId="1" type="noConversion"/>
  </si>
  <si>
    <t>辅助绕组的匝数_Nf=</t>
    <phoneticPr fontId="1" type="noConversion"/>
  </si>
  <si>
    <t>辅助绕组线径_Df=</t>
    <phoneticPr fontId="1" type="noConversion"/>
  </si>
  <si>
    <t>Design Data （工作参数计算）</t>
    <phoneticPr fontId="1" type="noConversion"/>
  </si>
  <si>
    <t>Start-Up Resistor 启动电阻</t>
    <phoneticPr fontId="1" type="noConversion"/>
  </si>
  <si>
    <t>Current Sense Resistor 采样电阻</t>
    <phoneticPr fontId="1" type="noConversion"/>
  </si>
  <si>
    <t>电流采样电阻_Rcs=</t>
    <phoneticPr fontId="1" type="noConversion"/>
  </si>
  <si>
    <t>Ω</t>
    <phoneticPr fontId="1" type="noConversion"/>
  </si>
  <si>
    <t>由于MOSFET关断延时问题，实际阻值需跟据输出电流调试。</t>
    <phoneticPr fontId="1" type="noConversion"/>
  </si>
  <si>
    <t>Walt</t>
    <phoneticPr fontId="1" type="noConversion"/>
  </si>
  <si>
    <t>启动电阻_Rcs=</t>
    <phoneticPr fontId="1" type="noConversion"/>
  </si>
  <si>
    <t>MΩ</t>
    <phoneticPr fontId="1" type="noConversion"/>
  </si>
  <si>
    <t>实际选用启动电阻_Rcs=</t>
    <phoneticPr fontId="1" type="noConversion"/>
  </si>
  <si>
    <t>采样电阻功耗_Prcs=</t>
    <phoneticPr fontId="1" type="noConversion"/>
  </si>
  <si>
    <t>启动电阻功耗_Prcs=</t>
    <phoneticPr fontId="1" type="noConversion"/>
  </si>
  <si>
    <t>由于耐压问题，实际选用2颗1MΩ_1206电阻串联。</t>
    <phoneticPr fontId="1" type="noConversion"/>
  </si>
  <si>
    <t>FB Sense Resistor FB反馈电阻</t>
    <phoneticPr fontId="1" type="noConversion"/>
  </si>
  <si>
    <t>系统延时时间_tdely=</t>
    <phoneticPr fontId="1" type="noConversion"/>
  </si>
  <si>
    <t>nS</t>
    <phoneticPr fontId="1" type="noConversion"/>
  </si>
  <si>
    <t>补偿电阻_Rfbh=</t>
    <phoneticPr fontId="1" type="noConversion"/>
  </si>
  <si>
    <t>补偿分压电阻_Rfbl=</t>
    <phoneticPr fontId="1" type="noConversion"/>
  </si>
  <si>
    <t>分压系数_Ka=</t>
    <phoneticPr fontId="1" type="noConversion"/>
  </si>
  <si>
    <t>≤4</t>
    <phoneticPr fontId="1" type="noConversion"/>
  </si>
  <si>
    <t>输入电解电容_CE=</t>
    <phoneticPr fontId="1" type="noConversion"/>
  </si>
  <si>
    <t>uF</t>
    <phoneticPr fontId="1" type="noConversion"/>
  </si>
  <si>
    <t>uF*Pcs</t>
    <phoneticPr fontId="1" type="noConversion"/>
  </si>
  <si>
    <t>KΩ</t>
    <phoneticPr fontId="1" type="noConversion"/>
  </si>
  <si>
    <t>实际选择电解电容_CE=</t>
    <phoneticPr fontId="1" type="noConversion"/>
  </si>
  <si>
    <t>%</t>
    <phoneticPr fontId="1" type="noConversion"/>
  </si>
  <si>
    <t>选用的变压器截面积_Ae=</t>
    <phoneticPr fontId="1" type="noConversion"/>
  </si>
  <si>
    <t>系统工作最大占空比_Dmax=</t>
    <phoneticPr fontId="1" type="noConversion"/>
  </si>
  <si>
    <t>设计的系统效率@Vinmin_Eff=</t>
    <phoneticPr fontId="1" type="noConversion"/>
  </si>
  <si>
    <r>
      <t>使用说明：本软件用于BPSemi的BP310X系列LED恒流驱动IC理论设计。软件中</t>
    </r>
    <r>
      <rPr>
        <sz val="11"/>
        <color indexed="10"/>
        <rFont val="宋体"/>
        <charset val="134"/>
      </rPr>
      <t>红色字体</t>
    </r>
    <r>
      <rPr>
        <sz val="11"/>
        <color theme="1"/>
        <rFont val="宋体"/>
        <charset val="134"/>
        <scheme val="minor"/>
      </rPr>
      <t>是跟据实际电气参数要求</t>
    </r>
    <phoneticPr fontId="1" type="noConversion"/>
  </si>
  <si>
    <r>
      <t>填入，系统将自动算出相关的元件参数(</t>
    </r>
    <r>
      <rPr>
        <sz val="11"/>
        <color indexed="12"/>
        <rFont val="宋体"/>
        <charset val="134"/>
      </rPr>
      <t xml:space="preserve"> 蓝色字体</t>
    </r>
    <r>
      <rPr>
        <sz val="11"/>
        <color theme="1"/>
        <rFont val="宋体"/>
        <charset val="134"/>
        <scheme val="minor"/>
      </rPr>
      <t>）和系统工作参</t>
    </r>
    <r>
      <rPr>
        <sz val="11"/>
        <rFont val="宋体"/>
        <charset val="134"/>
      </rPr>
      <t>数（</t>
    </r>
    <r>
      <rPr>
        <sz val="11"/>
        <color indexed="14"/>
        <rFont val="宋体"/>
        <charset val="134"/>
      </rPr>
      <t>粉红色字体</t>
    </r>
    <r>
      <rPr>
        <sz val="11"/>
        <rFont val="宋体"/>
        <charset val="134"/>
      </rPr>
      <t>）。</t>
    </r>
    <phoneticPr fontId="1" type="noConversion"/>
  </si>
  <si>
    <t>校正系数_CPPFC=</t>
    <phoneticPr fontId="1" type="noConversion"/>
  </si>
  <si>
    <t>功率因数</t>
    <phoneticPr fontId="1" type="noConversion"/>
  </si>
  <si>
    <t>输出二极管耐压@Vor=</t>
    <phoneticPr fontId="1" type="noConversion"/>
  </si>
  <si>
    <r>
      <t>开关管最大耐压V</t>
    </r>
    <r>
      <rPr>
        <sz val="11"/>
        <color theme="1"/>
        <rFont val="宋体"/>
        <family val="3"/>
        <charset val="134"/>
        <scheme val="minor"/>
      </rPr>
      <t>dmax=</t>
    </r>
    <phoneticPr fontId="1" type="noConversion"/>
  </si>
  <si>
    <t>开关管最小开通时间_Tonmin=</t>
    <phoneticPr fontId="1" type="noConversion"/>
  </si>
  <si>
    <t>uS</t>
    <phoneticPr fontId="1" type="noConversion"/>
  </si>
  <si>
    <t>uS</t>
    <phoneticPr fontId="1" type="noConversion"/>
  </si>
  <si>
    <t>输出电容耐压Vout_max=</t>
    <phoneticPr fontId="1" type="noConversion"/>
  </si>
  <si>
    <t>输出电容参考值Cout=</t>
    <phoneticPr fontId="1" type="noConversion"/>
  </si>
  <si>
    <t>Bulk Capacitor  输入电容</t>
    <phoneticPr fontId="1" type="noConversion"/>
  </si>
  <si>
    <r>
      <t>V</t>
    </r>
    <r>
      <rPr>
        <b/>
        <sz val="11"/>
        <color theme="1"/>
        <rFont val="宋体"/>
        <family val="3"/>
        <charset val="134"/>
        <scheme val="minor"/>
      </rPr>
      <t>out</t>
    </r>
    <r>
      <rPr>
        <b/>
        <sz val="11"/>
        <color theme="1"/>
        <rFont val="宋体"/>
        <charset val="134"/>
        <scheme val="minor"/>
      </rPr>
      <t xml:space="preserve"> Capacitor  输出电容</t>
    </r>
    <phoneticPr fontId="1" type="noConversion"/>
  </si>
  <si>
    <t>变压器设计</t>
    <phoneticPr fontId="1" type="noConversion"/>
  </si>
  <si>
    <t>Use PPFC</t>
  </si>
  <si>
    <r>
      <t xml:space="preserve">BP310X LED驱动电源设计           </t>
    </r>
    <r>
      <rPr>
        <b/>
        <sz val="10"/>
        <rFont val="宋体"/>
        <charset val="134"/>
      </rPr>
      <t xml:space="preserve"> V1.5</t>
    </r>
    <phoneticPr fontId="1" type="noConversion"/>
  </si>
  <si>
    <t>EE19</t>
    <phoneticPr fontId="1" type="noConversion"/>
  </si>
  <si>
    <t>22*2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</si>
</sst>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_ "/>
    <numFmt numFmtId="178" formatCode="0.000_ "/>
    <numFmt numFmtId="179" formatCode="0.0_ ;[Red]\-0.0\ "/>
    <numFmt numFmtId="180" formatCode="0.0_);[Red]\(0.0\)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14"/>
      <color indexed="8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color indexed="14"/>
      <name val="宋体"/>
      <charset val="134"/>
    </font>
    <font>
      <sz val="11"/>
      <color indexed="12"/>
      <name val="宋体"/>
      <charset val="134"/>
    </font>
    <font>
      <b/>
      <sz val="10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charset val="134"/>
    </font>
    <font>
      <i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theme="1"/>
      <name val="Arial Unicode MS"/>
      <family val="2"/>
      <charset val="134"/>
    </font>
    <font>
      <b/>
      <sz val="11"/>
      <color rgb="FFFF0000"/>
      <name val="宋体"/>
      <charset val="134"/>
      <scheme val="minor"/>
    </font>
    <font>
      <b/>
      <sz val="11"/>
      <color rgb="FFFF00FF"/>
      <name val="宋体"/>
      <charset val="134"/>
      <scheme val="minor"/>
    </font>
    <font>
      <b/>
      <sz val="11"/>
      <color rgb="FF002EF0"/>
      <name val="宋体"/>
      <charset val="134"/>
      <scheme val="minor"/>
    </font>
    <font>
      <i/>
      <sz val="11"/>
      <color theme="1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00FF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i/>
      <sz val="11"/>
      <color rgb="FF0000FF"/>
      <name val="Arial Unicode MS"/>
      <family val="2"/>
      <charset val="134"/>
    </font>
    <font>
      <b/>
      <sz val="2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2" borderId="1" xfId="0" applyFont="1" applyFill="1" applyBorder="1" applyAlignment="1">
      <alignment horizontal="left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6" xfId="0" applyFont="1" applyFill="1" applyBorder="1">
      <alignment vertical="center"/>
    </xf>
    <xf numFmtId="0" fontId="0" fillId="2" borderId="9" xfId="0" applyFill="1" applyBorder="1">
      <alignment vertical="center"/>
    </xf>
    <xf numFmtId="0" fontId="15" fillId="2" borderId="11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15" fillId="0" borderId="13" xfId="0" applyFont="1" applyFill="1" applyBorder="1" applyAlignment="1">
      <alignment horizontal="left" vertical="center"/>
    </xf>
    <xf numFmtId="176" fontId="16" fillId="2" borderId="14" xfId="0" applyNumberFormat="1" applyFont="1" applyFill="1" applyBorder="1" applyAlignment="1" applyProtection="1">
      <alignment horizontal="center" vertical="center"/>
      <protection locked="0" hidden="1"/>
    </xf>
    <xf numFmtId="176" fontId="14" fillId="0" borderId="0" xfId="0" applyNumberFormat="1" applyFont="1" applyFill="1" applyBorder="1" applyAlignment="1" applyProtection="1">
      <alignment horizontal="center" vertical="center"/>
      <protection hidden="1"/>
    </xf>
    <xf numFmtId="176" fontId="14" fillId="0" borderId="0" xfId="0" applyNumberFormat="1" applyFont="1" applyAlignment="1" applyProtection="1">
      <alignment horizontal="center" vertical="center"/>
      <protection hidden="1"/>
    </xf>
    <xf numFmtId="0" fontId="0" fillId="3" borderId="5" xfId="0" applyFill="1" applyBorder="1">
      <alignment vertical="center"/>
    </xf>
    <xf numFmtId="176" fontId="17" fillId="3" borderId="14" xfId="0" applyNumberFormat="1" applyFont="1" applyFill="1" applyBorder="1" applyAlignment="1" applyProtection="1">
      <alignment horizontal="center" vertical="center"/>
      <protection hidden="1"/>
    </xf>
    <xf numFmtId="0" fontId="15" fillId="3" borderId="14" xfId="0" applyFont="1" applyFill="1" applyBorder="1" applyAlignment="1">
      <alignment horizontal="left"/>
    </xf>
    <xf numFmtId="0" fontId="0" fillId="3" borderId="14" xfId="0" applyFill="1" applyBorder="1">
      <alignment vertical="center"/>
    </xf>
    <xf numFmtId="0" fontId="15" fillId="3" borderId="6" xfId="0" applyFont="1" applyFill="1" applyBorder="1" applyAlignment="1">
      <alignment horizontal="left" vertical="center"/>
    </xf>
    <xf numFmtId="0" fontId="0" fillId="3" borderId="7" xfId="0" applyFill="1" applyBorder="1">
      <alignment vertical="center"/>
    </xf>
    <xf numFmtId="176" fontId="17" fillId="3" borderId="15" xfId="0" applyNumberFormat="1" applyFont="1" applyFill="1" applyBorder="1" applyAlignment="1" applyProtection="1">
      <alignment horizontal="center" vertical="center"/>
      <protection hidden="1"/>
    </xf>
    <xf numFmtId="0" fontId="15" fillId="3" borderId="15" xfId="0" applyFont="1" applyFill="1" applyBorder="1" applyAlignment="1">
      <alignment horizontal="left"/>
    </xf>
    <xf numFmtId="0" fontId="0" fillId="3" borderId="15" xfId="0" applyFill="1" applyBorder="1">
      <alignment vertical="center"/>
    </xf>
    <xf numFmtId="0" fontId="15" fillId="3" borderId="11" xfId="0" applyFont="1" applyFill="1" applyBorder="1" applyAlignment="1">
      <alignment horizontal="left" vertical="center"/>
    </xf>
    <xf numFmtId="0" fontId="0" fillId="4" borderId="5" xfId="0" applyFill="1" applyBorder="1">
      <alignment vertical="center"/>
    </xf>
    <xf numFmtId="176" fontId="18" fillId="4" borderId="14" xfId="0" applyNumberFormat="1" applyFont="1" applyFill="1" applyBorder="1" applyAlignment="1" applyProtection="1">
      <alignment horizontal="center" vertical="center"/>
      <protection hidden="1"/>
    </xf>
    <xf numFmtId="0" fontId="15" fillId="4" borderId="14" xfId="0" applyFont="1" applyFill="1" applyBorder="1" applyAlignment="1">
      <alignment horizontal="left"/>
    </xf>
    <xf numFmtId="0" fontId="0" fillId="4" borderId="14" xfId="0" applyFill="1" applyBorder="1">
      <alignment vertical="center"/>
    </xf>
    <xf numFmtId="176" fontId="16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15" fillId="4" borderId="6" xfId="0" applyFont="1" applyFill="1" applyBorder="1" applyAlignment="1">
      <alignment horizontal="left" vertical="center"/>
    </xf>
    <xf numFmtId="178" fontId="16" fillId="4" borderId="14" xfId="0" applyNumberFormat="1" applyFont="1" applyFill="1" applyBorder="1" applyAlignment="1" applyProtection="1">
      <alignment horizontal="center" vertical="center"/>
      <protection locked="0" hidden="1"/>
    </xf>
    <xf numFmtId="177" fontId="18" fillId="4" borderId="14" xfId="0" applyNumberFormat="1" applyFont="1" applyFill="1" applyBorder="1" applyAlignment="1" applyProtection="1">
      <alignment horizontal="center" vertical="center"/>
      <protection hidden="1"/>
    </xf>
    <xf numFmtId="0" fontId="0" fillId="4" borderId="7" xfId="0" applyFill="1" applyBorder="1">
      <alignment vertical="center"/>
    </xf>
    <xf numFmtId="177" fontId="18" fillId="4" borderId="15" xfId="0" applyNumberFormat="1" applyFont="1" applyFill="1" applyBorder="1" applyAlignment="1" applyProtection="1">
      <alignment horizontal="center" vertical="center"/>
      <protection hidden="1"/>
    </xf>
    <xf numFmtId="0" fontId="15" fillId="4" borderId="15" xfId="0" applyFont="1" applyFill="1" applyBorder="1" applyAlignment="1">
      <alignment horizontal="left"/>
    </xf>
    <xf numFmtId="0" fontId="0" fillId="4" borderId="15" xfId="0" applyFill="1" applyBorder="1">
      <alignment vertical="center"/>
    </xf>
    <xf numFmtId="176" fontId="18" fillId="4" borderId="15" xfId="0" applyNumberFormat="1" applyFont="1" applyFill="1" applyBorder="1" applyAlignment="1" applyProtection="1">
      <alignment horizontal="center" vertical="center"/>
      <protection hidden="1"/>
    </xf>
    <xf numFmtId="0" fontId="15" fillId="4" borderId="11" xfId="0" applyFont="1" applyFill="1" applyBorder="1" applyAlignment="1">
      <alignment horizontal="left" vertical="center"/>
    </xf>
    <xf numFmtId="0" fontId="0" fillId="4" borderId="12" xfId="0" applyFill="1" applyBorder="1">
      <alignment vertical="center"/>
    </xf>
    <xf numFmtId="176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Border="1" applyAlignment="1">
      <alignment horizontal="left"/>
    </xf>
    <xf numFmtId="0" fontId="0" fillId="4" borderId="0" xfId="0" applyFill="1" applyBorder="1">
      <alignment vertical="center"/>
    </xf>
    <xf numFmtId="0" fontId="15" fillId="4" borderId="13" xfId="0" applyFont="1" applyFill="1" applyBorder="1" applyAlignment="1">
      <alignment horizontal="left" vertical="center"/>
    </xf>
    <xf numFmtId="0" fontId="19" fillId="4" borderId="14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center"/>
    </xf>
    <xf numFmtId="176" fontId="16" fillId="4" borderId="15" xfId="0" applyNumberFormat="1" applyFont="1" applyFill="1" applyBorder="1" applyAlignment="1" applyProtection="1">
      <alignment horizontal="center" vertical="center"/>
      <protection locked="0" hidden="1"/>
    </xf>
    <xf numFmtId="177" fontId="16" fillId="4" borderId="15" xfId="0" applyNumberFormat="1" applyFont="1" applyFill="1" applyBorder="1" applyAlignment="1" applyProtection="1">
      <alignment horizontal="center" vertical="center"/>
      <protection locked="0" hidden="1"/>
    </xf>
    <xf numFmtId="0" fontId="15" fillId="4" borderId="11" xfId="0" applyFont="1" applyFill="1" applyBorder="1" applyAlignment="1">
      <alignment horizontal="left"/>
    </xf>
    <xf numFmtId="176" fontId="18" fillId="2" borderId="14" xfId="0" applyNumberFormat="1" applyFont="1" applyFill="1" applyBorder="1" applyAlignment="1" applyProtection="1">
      <alignment horizontal="center" vertical="center"/>
      <protection hidden="1"/>
    </xf>
    <xf numFmtId="179" fontId="16" fillId="2" borderId="15" xfId="0" applyNumberFormat="1" applyFont="1" applyFill="1" applyBorder="1" applyAlignment="1" applyProtection="1">
      <alignment horizontal="center" vertical="center"/>
      <protection locked="0" hidden="1"/>
    </xf>
    <xf numFmtId="180" fontId="16" fillId="2" borderId="14" xfId="0" applyNumberFormat="1" applyFont="1" applyFill="1" applyBorder="1" applyAlignment="1" applyProtection="1">
      <alignment horizontal="center" vertical="center"/>
      <protection locked="0" hidden="1"/>
    </xf>
    <xf numFmtId="0" fontId="22" fillId="2" borderId="10" xfId="0" applyFont="1" applyFill="1" applyBorder="1">
      <alignment vertical="center"/>
    </xf>
    <xf numFmtId="0" fontId="22" fillId="2" borderId="7" xfId="0" applyFont="1" applyFill="1" applyBorder="1" applyAlignment="1">
      <alignment horizontal="center" vertical="center"/>
    </xf>
    <xf numFmtId="176" fontId="24" fillId="2" borderId="15" xfId="0" applyNumberFormat="1" applyFont="1" applyFill="1" applyBorder="1" applyAlignment="1" applyProtection="1">
      <alignment horizontal="center" vertical="center"/>
      <protection hidden="1"/>
    </xf>
    <xf numFmtId="0" fontId="22" fillId="3" borderId="14" xfId="0" applyFont="1" applyFill="1" applyBorder="1">
      <alignment vertical="center"/>
    </xf>
    <xf numFmtId="0" fontId="22" fillId="3" borderId="5" xfId="0" applyFont="1" applyFill="1" applyBorder="1">
      <alignment vertical="center"/>
    </xf>
    <xf numFmtId="0" fontId="28" fillId="2" borderId="8" xfId="0" applyFont="1" applyFill="1" applyBorder="1" applyAlignment="1">
      <alignment horizontal="left"/>
    </xf>
    <xf numFmtId="0" fontId="22" fillId="4" borderId="15" xfId="0" applyFont="1" applyFill="1" applyBorder="1">
      <alignment vertical="center"/>
    </xf>
    <xf numFmtId="178" fontId="17" fillId="3" borderId="14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4" fillId="4" borderId="35" xfId="0" applyFont="1" applyFill="1" applyBorder="1" applyAlignment="1">
      <alignment horizontal="left" vertical="center"/>
    </xf>
    <xf numFmtId="0" fontId="14" fillId="4" borderId="36" xfId="0" applyFont="1" applyFill="1" applyBorder="1" applyAlignment="1">
      <alignment horizontal="left" vertical="center"/>
    </xf>
    <xf numFmtId="0" fontId="14" fillId="4" borderId="37" xfId="0" applyFont="1" applyFill="1" applyBorder="1" applyAlignment="1">
      <alignment horizontal="left" vertical="center"/>
    </xf>
    <xf numFmtId="0" fontId="14" fillId="4" borderId="34" xfId="0" applyFont="1" applyFill="1" applyBorder="1" applyAlignment="1">
      <alignment horizontal="left" vertical="center"/>
    </xf>
    <xf numFmtId="0" fontId="14" fillId="4" borderId="21" xfId="0" applyFont="1" applyFill="1" applyBorder="1" applyAlignment="1">
      <alignment horizontal="left" vertical="center"/>
    </xf>
    <xf numFmtId="0" fontId="14" fillId="4" borderId="22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23" fillId="4" borderId="16" xfId="0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left" vertical="center"/>
    </xf>
    <xf numFmtId="0" fontId="14" fillId="4" borderId="18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4" fillId="3" borderId="16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25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right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4" fillId="2" borderId="16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0" fillId="0" borderId="31" xfId="0" applyFill="1" applyBorder="1" applyAlignment="1"/>
    <xf numFmtId="0" fontId="0" fillId="0" borderId="32" xfId="0" applyFill="1" applyBorder="1" applyAlignment="1"/>
    <xf numFmtId="0" fontId="0" fillId="0" borderId="33" xfId="0" applyFill="1" applyBorder="1" applyAlignment="1"/>
    <xf numFmtId="0" fontId="0" fillId="0" borderId="26" xfId="0" applyFill="1" applyBorder="1" applyAlignment="1"/>
    <xf numFmtId="0" fontId="0" fillId="0" borderId="27" xfId="0" applyFill="1" applyBorder="1" applyAlignment="1"/>
    <xf numFmtId="0" fontId="0" fillId="0" borderId="28" xfId="0" applyFill="1" applyBorder="1" applyAlignment="1"/>
    <xf numFmtId="176" fontId="26" fillId="0" borderId="24" xfId="0" applyNumberFormat="1" applyFont="1" applyFill="1" applyBorder="1" applyAlignment="1" applyProtection="1">
      <alignment horizontal="center" vertical="center"/>
      <protection hidden="1"/>
    </xf>
    <xf numFmtId="0" fontId="27" fillId="0" borderId="24" xfId="0" applyFont="1" applyBorder="1" applyAlignment="1">
      <alignment vertical="center"/>
    </xf>
    <xf numFmtId="0" fontId="0" fillId="3" borderId="1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="115" zoomScaleSheetLayoutView="115" workbookViewId="0">
      <selection activeCell="F38" sqref="F38"/>
    </sheetView>
  </sheetViews>
  <sheetFormatPr defaultRowHeight="20.100000000000001" customHeight="1"/>
  <cols>
    <col min="1" max="1" width="25.625" customWidth="1"/>
    <col min="2" max="2" width="10.125" style="22" customWidth="1"/>
    <col min="3" max="3" width="8.625" style="7" customWidth="1"/>
    <col min="4" max="4" width="5.625" customWidth="1"/>
    <col min="5" max="5" width="25.625" customWidth="1"/>
    <col min="6" max="6" width="10.625" style="22" customWidth="1"/>
    <col min="7" max="7" width="7.25" style="6" customWidth="1"/>
    <col min="8" max="8" width="20.625" customWidth="1"/>
    <col min="9" max="9" width="8.625" style="3" customWidth="1"/>
    <col min="10" max="10" width="5.625" style="1" customWidth="1"/>
    <col min="11" max="11" width="20.625" customWidth="1"/>
    <col min="12" max="12" width="8.625" style="3" customWidth="1"/>
    <col min="13" max="13" width="5.625" style="2" customWidth="1"/>
  </cols>
  <sheetData>
    <row r="1" spans="1:13" ht="26.25" thickBot="1">
      <c r="A1" s="95" t="s">
        <v>90</v>
      </c>
      <c r="B1" s="96"/>
      <c r="C1" s="96"/>
      <c r="D1" s="96"/>
      <c r="E1" s="96"/>
      <c r="F1" s="96"/>
      <c r="G1" s="97"/>
      <c r="I1" s="4"/>
      <c r="L1" s="4"/>
    </row>
    <row r="2" spans="1:13" ht="9.9499999999999993" customHeight="1" thickBot="1">
      <c r="A2" s="98"/>
      <c r="B2" s="99"/>
      <c r="C2" s="99"/>
      <c r="D2" s="99"/>
      <c r="E2" s="99"/>
      <c r="F2" s="99"/>
      <c r="G2" s="100"/>
      <c r="I2" s="4"/>
      <c r="L2" s="4"/>
    </row>
    <row r="3" spans="1:13" ht="20.100000000000001" customHeight="1">
      <c r="A3" s="109" t="s">
        <v>75</v>
      </c>
      <c r="B3" s="110"/>
      <c r="C3" s="110"/>
      <c r="D3" s="110"/>
      <c r="E3" s="110"/>
      <c r="F3" s="110"/>
      <c r="G3" s="111"/>
      <c r="I3" s="4"/>
      <c r="L3" s="4"/>
    </row>
    <row r="4" spans="1:13" ht="20.100000000000001" customHeight="1" thickBot="1">
      <c r="A4" s="112" t="s">
        <v>76</v>
      </c>
      <c r="B4" s="113"/>
      <c r="C4" s="113"/>
      <c r="D4" s="113"/>
      <c r="E4" s="113"/>
      <c r="F4" s="113"/>
      <c r="G4" s="114"/>
      <c r="I4" s="4"/>
      <c r="L4" s="4"/>
    </row>
    <row r="5" spans="1:13" ht="9.9499999999999993" customHeight="1" thickBot="1">
      <c r="A5" s="101"/>
      <c r="B5" s="102"/>
      <c r="C5" s="102"/>
      <c r="D5" s="102"/>
      <c r="E5" s="102"/>
      <c r="F5" s="102"/>
      <c r="G5" s="103"/>
      <c r="I5" s="4"/>
      <c r="L5" s="4"/>
    </row>
    <row r="6" spans="1:13" ht="20.100000000000001" customHeight="1">
      <c r="A6" s="104" t="s">
        <v>0</v>
      </c>
      <c r="B6" s="105"/>
      <c r="C6" s="106"/>
      <c r="D6" s="11"/>
      <c r="E6" s="107" t="s">
        <v>1</v>
      </c>
      <c r="F6" s="105"/>
      <c r="G6" s="108"/>
      <c r="H6" s="5"/>
      <c r="I6" s="5"/>
      <c r="J6" s="5"/>
      <c r="K6" s="5"/>
      <c r="L6" s="5"/>
      <c r="M6" s="5"/>
    </row>
    <row r="7" spans="1:13" ht="20.100000000000001" customHeight="1">
      <c r="A7" s="12" t="s">
        <v>4</v>
      </c>
      <c r="B7" s="59">
        <v>180</v>
      </c>
      <c r="C7" s="8" t="s">
        <v>12</v>
      </c>
      <c r="D7" s="10"/>
      <c r="E7" s="9" t="s">
        <v>5</v>
      </c>
      <c r="F7" s="20">
        <v>4</v>
      </c>
      <c r="G7" s="13" t="s">
        <v>32</v>
      </c>
    </row>
    <row r="8" spans="1:13" ht="20.100000000000001" customHeight="1">
      <c r="A8" s="12" t="s">
        <v>3</v>
      </c>
      <c r="B8" s="59">
        <v>264</v>
      </c>
      <c r="C8" s="8" t="s">
        <v>12</v>
      </c>
      <c r="D8" s="10"/>
      <c r="E8" s="9" t="s">
        <v>6</v>
      </c>
      <c r="F8" s="20">
        <v>800</v>
      </c>
      <c r="G8" s="13" t="s">
        <v>33</v>
      </c>
    </row>
    <row r="9" spans="1:13" ht="20.100000000000001" customHeight="1">
      <c r="A9" s="12" t="s">
        <v>2</v>
      </c>
      <c r="B9" s="59">
        <v>50</v>
      </c>
      <c r="C9" s="8" t="s">
        <v>13</v>
      </c>
      <c r="D9" s="10"/>
      <c r="E9" s="9" t="s">
        <v>7</v>
      </c>
      <c r="F9" s="20">
        <v>3</v>
      </c>
      <c r="G9" s="13" t="s">
        <v>34</v>
      </c>
    </row>
    <row r="10" spans="1:13" ht="20.100000000000001" customHeight="1">
      <c r="A10" s="12" t="s">
        <v>16</v>
      </c>
      <c r="B10" s="59">
        <v>48</v>
      </c>
      <c r="C10" s="8" t="s">
        <v>15</v>
      </c>
      <c r="D10" s="10"/>
      <c r="E10" s="9" t="s">
        <v>8</v>
      </c>
      <c r="F10" s="20">
        <v>1</v>
      </c>
      <c r="G10" s="13" t="s">
        <v>34</v>
      </c>
    </row>
    <row r="11" spans="1:13" ht="20.100000000000001" customHeight="1">
      <c r="A11" s="12" t="s">
        <v>74</v>
      </c>
      <c r="B11" s="59">
        <v>80</v>
      </c>
      <c r="C11" s="8" t="s">
        <v>17</v>
      </c>
      <c r="D11" s="10"/>
      <c r="E11" s="9" t="s">
        <v>9</v>
      </c>
      <c r="F11" s="57">
        <f>F9*F7</f>
        <v>12</v>
      </c>
      <c r="G11" s="14" t="s">
        <v>32</v>
      </c>
    </row>
    <row r="12" spans="1:13" ht="20.100000000000001" customHeight="1">
      <c r="A12" s="12" t="s">
        <v>73</v>
      </c>
      <c r="B12" s="59">
        <v>40</v>
      </c>
      <c r="C12" s="8" t="s">
        <v>71</v>
      </c>
      <c r="D12" s="10"/>
      <c r="E12" s="9" t="s">
        <v>10</v>
      </c>
      <c r="F12" s="57">
        <f>F10*F8</f>
        <v>800</v>
      </c>
      <c r="G12" s="14" t="s">
        <v>33</v>
      </c>
    </row>
    <row r="13" spans="1:13" ht="20.100000000000001" customHeight="1">
      <c r="A13" s="12" t="s">
        <v>18</v>
      </c>
      <c r="B13" s="59">
        <v>15</v>
      </c>
      <c r="C13" s="8" t="s">
        <v>11</v>
      </c>
      <c r="D13" s="10"/>
      <c r="E13" s="9" t="s">
        <v>21</v>
      </c>
      <c r="F13" s="57">
        <f>F12*F11/1000</f>
        <v>9.6</v>
      </c>
      <c r="G13" s="14" t="s">
        <v>35</v>
      </c>
    </row>
    <row r="14" spans="1:13" ht="20.100000000000001" customHeight="1" thickBot="1">
      <c r="A14" s="61" t="s">
        <v>78</v>
      </c>
      <c r="B14" s="58" t="s">
        <v>89</v>
      </c>
      <c r="C14" s="65" t="str">
        <f>IF(B14="Use PPFC","0.8-0.95",IF(B14="No PPFC","0.5-0.6"))</f>
        <v>0.8-0.95</v>
      </c>
      <c r="D14" s="15"/>
      <c r="E14" s="60" t="s">
        <v>77</v>
      </c>
      <c r="F14" s="62" t="str">
        <f>IF(B14="Use PPFC","0.5",IF(B14="No PPFC","1"))</f>
        <v>0.5</v>
      </c>
      <c r="G14" s="16"/>
    </row>
    <row r="15" spans="1:13" ht="15" customHeight="1" thickBot="1">
      <c r="A15" s="18"/>
      <c r="B15" s="115" t="str">
        <f>IF(B12&lt;15, "Dmax too small!",IF(B12&gt;42, "Dmax too large!", ""))</f>
        <v/>
      </c>
      <c r="C15" s="116"/>
      <c r="D15" s="116"/>
      <c r="E15" s="17"/>
      <c r="F15" s="21"/>
      <c r="G15" s="19"/>
      <c r="I15" s="4"/>
      <c r="L15" s="4"/>
    </row>
    <row r="16" spans="1:13" ht="20.100000000000001" customHeight="1">
      <c r="A16" s="92" t="s">
        <v>46</v>
      </c>
      <c r="B16" s="93"/>
      <c r="C16" s="93"/>
      <c r="D16" s="93"/>
      <c r="E16" s="93"/>
      <c r="F16" s="93"/>
      <c r="G16" s="94"/>
    </row>
    <row r="17" spans="1:12" ht="20.100000000000001" customHeight="1">
      <c r="A17" s="23" t="s">
        <v>20</v>
      </c>
      <c r="B17" s="24">
        <f>F14*SQRT(2)*B7-B13</f>
        <v>112.27922061357856</v>
      </c>
      <c r="C17" s="25" t="s">
        <v>11</v>
      </c>
      <c r="D17" s="117"/>
      <c r="E17" s="26" t="s">
        <v>19</v>
      </c>
      <c r="F17" s="24">
        <f>SQRT(2)*B8</f>
        <v>373.3523804664971</v>
      </c>
      <c r="G17" s="27" t="s">
        <v>32</v>
      </c>
    </row>
    <row r="18" spans="1:12" ht="20.100000000000001" customHeight="1">
      <c r="A18" s="64" t="s">
        <v>80</v>
      </c>
      <c r="B18" s="24">
        <f>(F17+F11*F19)*130%</f>
        <v>595.25963760703144</v>
      </c>
      <c r="C18" s="25" t="s">
        <v>11</v>
      </c>
      <c r="D18" s="118"/>
      <c r="E18" s="63" t="s">
        <v>79</v>
      </c>
      <c r="F18" s="24">
        <f>F11+F17/F19+50</f>
        <v>114.99559020064299</v>
      </c>
      <c r="G18" s="27" t="s">
        <v>11</v>
      </c>
    </row>
    <row r="19" spans="1:12" ht="20.100000000000001" customHeight="1">
      <c r="A19" s="64" t="s">
        <v>81</v>
      </c>
      <c r="B19" s="24">
        <f>B22*F25/F17</f>
        <v>2.4332226905713039</v>
      </c>
      <c r="C19" s="25" t="s">
        <v>82</v>
      </c>
      <c r="D19" s="118"/>
      <c r="E19" s="26" t="s">
        <v>23</v>
      </c>
      <c r="F19" s="67">
        <f>(B17/(F11+0.75))*(B12%/0.5)</f>
        <v>7.0449707051657136</v>
      </c>
      <c r="G19" s="27"/>
      <c r="I19" s="4"/>
      <c r="L19" s="4"/>
    </row>
    <row r="20" spans="1:12" ht="19.5" customHeight="1">
      <c r="A20" s="64" t="s">
        <v>22</v>
      </c>
      <c r="B20" s="24">
        <f>B12%*1/B10*1000</f>
        <v>8.3333333333333339</v>
      </c>
      <c r="C20" s="25" t="s">
        <v>83</v>
      </c>
      <c r="D20" s="118"/>
      <c r="E20" s="26" t="s">
        <v>25</v>
      </c>
      <c r="F20" s="24">
        <f>SQRT(0.5/3)*B21</f>
        <v>1306.3945294843616</v>
      </c>
      <c r="G20" s="27" t="s">
        <v>33</v>
      </c>
    </row>
    <row r="21" spans="1:12" ht="20.100000000000001" customHeight="1" thickBot="1">
      <c r="A21" s="23" t="s">
        <v>24</v>
      </c>
      <c r="B21" s="24">
        <f>F12*4</f>
        <v>3200</v>
      </c>
      <c r="C21" s="25" t="s">
        <v>14</v>
      </c>
      <c r="D21" s="118"/>
      <c r="E21" s="31" t="s">
        <v>27</v>
      </c>
      <c r="F21" s="29">
        <f>F20/F19</f>
        <v>185.43647435275349</v>
      </c>
      <c r="G21" s="32" t="s">
        <v>33</v>
      </c>
    </row>
    <row r="22" spans="1:12" ht="20.100000000000001" customHeight="1" thickBot="1">
      <c r="A22" s="28" t="s">
        <v>26</v>
      </c>
      <c r="B22" s="29">
        <f>B21/F19</f>
        <v>454.2247418649456</v>
      </c>
      <c r="C22" s="30" t="s">
        <v>14</v>
      </c>
      <c r="D22" s="119"/>
      <c r="E22" s="31"/>
      <c r="F22" s="29"/>
      <c r="G22" s="32"/>
    </row>
    <row r="23" spans="1:12" ht="18" customHeight="1" thickBot="1">
      <c r="A23" s="18"/>
      <c r="B23" s="115" t="str">
        <f>IF(B19&lt;1, "on time is too small!",IF(B19&gt;20, "on time is too large!", ""))</f>
        <v/>
      </c>
      <c r="C23" s="116"/>
      <c r="D23" s="116"/>
      <c r="E23" s="17"/>
      <c r="F23" s="21"/>
      <c r="G23" s="19"/>
    </row>
    <row r="24" spans="1:12" ht="20.100000000000001" customHeight="1">
      <c r="A24" s="85" t="s">
        <v>88</v>
      </c>
      <c r="B24" s="86"/>
      <c r="C24" s="86"/>
      <c r="D24" s="86"/>
      <c r="E24" s="86"/>
      <c r="F24" s="86"/>
      <c r="G24" s="87"/>
    </row>
    <row r="25" spans="1:12" ht="20.100000000000001" customHeight="1">
      <c r="A25" s="33" t="s">
        <v>28</v>
      </c>
      <c r="B25" s="34">
        <f>B17*B20/B22</f>
        <v>2.059905781305988</v>
      </c>
      <c r="C25" s="35" t="s">
        <v>29</v>
      </c>
      <c r="D25" s="88"/>
      <c r="E25" s="36" t="s">
        <v>30</v>
      </c>
      <c r="F25" s="37">
        <v>2</v>
      </c>
      <c r="G25" s="38" t="s">
        <v>36</v>
      </c>
    </row>
    <row r="26" spans="1:12" ht="20.100000000000001" customHeight="1">
      <c r="A26" s="33" t="s">
        <v>31</v>
      </c>
      <c r="B26" s="37" t="s">
        <v>91</v>
      </c>
      <c r="C26" s="35"/>
      <c r="D26" s="91"/>
      <c r="E26" s="36" t="s">
        <v>72</v>
      </c>
      <c r="F26" s="39">
        <v>0.223</v>
      </c>
      <c r="G26" s="38" t="s">
        <v>37</v>
      </c>
    </row>
    <row r="27" spans="1:12" ht="20.100000000000001" customHeight="1">
      <c r="A27" s="33" t="s">
        <v>38</v>
      </c>
      <c r="B27" s="40">
        <f>F25*B22*100/(2500*F26)</f>
        <v>162.95058004123609</v>
      </c>
      <c r="C27" s="35" t="s">
        <v>39</v>
      </c>
      <c r="D27" s="91"/>
      <c r="E27" s="36" t="s">
        <v>40</v>
      </c>
      <c r="F27" s="34">
        <f>1.13*SQRT(F21*0.001/5.5)</f>
        <v>0.20748880981919829</v>
      </c>
      <c r="G27" s="38" t="s">
        <v>41</v>
      </c>
    </row>
    <row r="28" spans="1:12" ht="20.100000000000001" customHeight="1">
      <c r="A28" s="33" t="s">
        <v>42</v>
      </c>
      <c r="B28" s="40">
        <f>B27/F19</f>
        <v>23.130057861241756</v>
      </c>
      <c r="C28" s="35" t="s">
        <v>39</v>
      </c>
      <c r="D28" s="91"/>
      <c r="E28" s="36" t="s">
        <v>43</v>
      </c>
      <c r="F28" s="34">
        <f>1.13*SQRT(F20*0.001/7)</f>
        <v>0.48816495670719762</v>
      </c>
      <c r="G28" s="38" t="s">
        <v>41</v>
      </c>
    </row>
    <row r="29" spans="1:12" ht="20.100000000000001" customHeight="1" thickBot="1">
      <c r="A29" s="41" t="s">
        <v>44</v>
      </c>
      <c r="B29" s="42">
        <f>12*B28/(F11+0.75)</f>
        <v>21.769466222345184</v>
      </c>
      <c r="C29" s="43" t="s">
        <v>39</v>
      </c>
      <c r="D29" s="90"/>
      <c r="E29" s="44" t="s">
        <v>45</v>
      </c>
      <c r="F29" s="45">
        <v>0.1</v>
      </c>
      <c r="G29" s="46" t="s">
        <v>41</v>
      </c>
    </row>
    <row r="30" spans="1:12" ht="16.5" customHeight="1" thickBot="1">
      <c r="A30" s="47"/>
      <c r="B30" s="48"/>
      <c r="C30" s="49"/>
      <c r="D30" s="50"/>
      <c r="E30" s="50"/>
      <c r="F30" s="48"/>
      <c r="G30" s="51"/>
      <c r="I30" s="4"/>
      <c r="L30" s="4"/>
    </row>
    <row r="31" spans="1:12" ht="20.25" customHeight="1">
      <c r="A31" s="76" t="s">
        <v>48</v>
      </c>
      <c r="B31" s="77"/>
      <c r="C31" s="77"/>
      <c r="D31" s="77"/>
      <c r="E31" s="77"/>
      <c r="F31" s="77"/>
      <c r="G31" s="78"/>
      <c r="I31" s="4"/>
      <c r="L31" s="4"/>
    </row>
    <row r="32" spans="1:12" ht="20.25" customHeight="1">
      <c r="A32" s="33" t="s">
        <v>49</v>
      </c>
      <c r="B32" s="34">
        <f>0.5/B22*1000</f>
        <v>1.1007766726821429</v>
      </c>
      <c r="C32" s="52" t="s">
        <v>50</v>
      </c>
      <c r="D32" s="82" t="s">
        <v>51</v>
      </c>
      <c r="E32" s="83"/>
      <c r="F32" s="83"/>
      <c r="G32" s="84"/>
      <c r="I32" s="4"/>
      <c r="L32" s="4"/>
    </row>
    <row r="33" spans="1:12" ht="20.25" customHeight="1">
      <c r="A33" s="33" t="s">
        <v>56</v>
      </c>
      <c r="B33" s="34">
        <f>F21*F21*B32/1000000</f>
        <v>3.78520618220788E-2</v>
      </c>
      <c r="C33" s="35" t="s">
        <v>52</v>
      </c>
      <c r="D33" s="68"/>
      <c r="E33" s="69"/>
      <c r="F33" s="69"/>
      <c r="G33" s="70"/>
      <c r="I33" s="4"/>
      <c r="L33" s="4"/>
    </row>
    <row r="34" spans="1:12" ht="20.25" customHeight="1">
      <c r="A34" s="79" t="s">
        <v>47</v>
      </c>
      <c r="B34" s="80"/>
      <c r="C34" s="80"/>
      <c r="D34" s="80"/>
      <c r="E34" s="80"/>
      <c r="F34" s="80"/>
      <c r="G34" s="81"/>
      <c r="I34" s="4"/>
      <c r="L34" s="4"/>
    </row>
    <row r="35" spans="1:12" ht="20.25" customHeight="1">
      <c r="A35" s="33" t="s">
        <v>53</v>
      </c>
      <c r="B35" s="34">
        <f>B7/50</f>
        <v>3.6</v>
      </c>
      <c r="C35" s="35" t="s">
        <v>54</v>
      </c>
      <c r="D35" s="88"/>
      <c r="E35" s="36" t="s">
        <v>55</v>
      </c>
      <c r="F35" s="37">
        <v>1.5</v>
      </c>
      <c r="G35" s="38" t="s">
        <v>54</v>
      </c>
      <c r="I35" s="4"/>
      <c r="L35" s="4"/>
    </row>
    <row r="36" spans="1:12" ht="20.25" customHeight="1">
      <c r="A36" s="33" t="s">
        <v>57</v>
      </c>
      <c r="B36" s="34">
        <f>50*50*0.000001*2</f>
        <v>5.0000000000000001E-3</v>
      </c>
      <c r="C36" s="35" t="s">
        <v>52</v>
      </c>
      <c r="D36" s="89"/>
      <c r="E36" s="71" t="s">
        <v>58</v>
      </c>
      <c r="F36" s="71"/>
      <c r="G36" s="72"/>
      <c r="I36" s="4"/>
      <c r="L36" s="4"/>
    </row>
    <row r="37" spans="1:12" ht="20.100000000000001" customHeight="1">
      <c r="A37" s="73" t="s">
        <v>59</v>
      </c>
      <c r="B37" s="74"/>
      <c r="C37" s="74"/>
      <c r="D37" s="74"/>
      <c r="E37" s="74"/>
      <c r="F37" s="74"/>
      <c r="G37" s="75"/>
    </row>
    <row r="38" spans="1:12" ht="20.100000000000001" customHeight="1">
      <c r="A38" s="53" t="s">
        <v>60</v>
      </c>
      <c r="B38" s="37">
        <v>500</v>
      </c>
      <c r="C38" s="35" t="s">
        <v>61</v>
      </c>
      <c r="D38" s="88"/>
      <c r="E38" s="36" t="s">
        <v>62</v>
      </c>
      <c r="F38" s="40">
        <f>1.1*F25/(B32*B38*B27/B29)*1000000</f>
        <v>534.00500643412727</v>
      </c>
      <c r="G38" s="38" t="s">
        <v>69</v>
      </c>
    </row>
    <row r="39" spans="1:12" ht="20.100000000000001" customHeight="1" thickBot="1">
      <c r="A39" s="41" t="s">
        <v>64</v>
      </c>
      <c r="B39" s="54">
        <v>4</v>
      </c>
      <c r="C39" s="43" t="s">
        <v>65</v>
      </c>
      <c r="D39" s="90"/>
      <c r="E39" s="44" t="s">
        <v>63</v>
      </c>
      <c r="F39" s="42">
        <f>F38/B39</f>
        <v>133.50125160853182</v>
      </c>
      <c r="G39" s="46" t="s">
        <v>69</v>
      </c>
    </row>
    <row r="40" spans="1:12" ht="9.9499999999999993" customHeight="1" thickBot="1">
      <c r="A40" s="47"/>
      <c r="B40" s="48"/>
      <c r="C40" s="49"/>
      <c r="D40" s="50"/>
      <c r="E40" s="50"/>
      <c r="F40" s="48"/>
      <c r="G40" s="51"/>
    </row>
    <row r="41" spans="1:12" ht="20.100000000000001" customHeight="1">
      <c r="A41" s="85" t="s">
        <v>86</v>
      </c>
      <c r="B41" s="86"/>
      <c r="C41" s="86"/>
      <c r="D41" s="86"/>
      <c r="E41" s="86"/>
      <c r="F41" s="86"/>
      <c r="G41" s="87"/>
    </row>
    <row r="42" spans="1:12" ht="20.100000000000001" customHeight="1" thickBot="1">
      <c r="A42" s="41" t="s">
        <v>66</v>
      </c>
      <c r="B42" s="42">
        <f>2*F13/B11%*(1/(4*B9))/((B7*1.414*F14)^2-(B7*1.414*F14-B13)^2)*1000000</f>
        <v>33.400133600534403</v>
      </c>
      <c r="C42" s="43" t="s">
        <v>67</v>
      </c>
      <c r="D42" s="44"/>
      <c r="E42" s="44" t="s">
        <v>70</v>
      </c>
      <c r="F42" s="55" t="s">
        <v>92</v>
      </c>
      <c r="G42" s="56" t="s">
        <v>68</v>
      </c>
    </row>
    <row r="43" spans="1:12" ht="10.5" customHeight="1" thickBot="1">
      <c r="A43" s="85"/>
      <c r="B43" s="86"/>
      <c r="C43" s="86"/>
      <c r="D43" s="86"/>
      <c r="E43" s="86"/>
      <c r="F43" s="86"/>
      <c r="G43" s="87"/>
    </row>
    <row r="44" spans="1:12" ht="20.100000000000001" customHeight="1">
      <c r="A44" s="85" t="s">
        <v>87</v>
      </c>
      <c r="B44" s="86"/>
      <c r="C44" s="86"/>
      <c r="D44" s="86"/>
      <c r="E44" s="86"/>
      <c r="F44" s="86"/>
      <c r="G44" s="87"/>
    </row>
    <row r="45" spans="1:12" ht="20.100000000000001" customHeight="1" thickBot="1">
      <c r="A45" s="41" t="s">
        <v>84</v>
      </c>
      <c r="B45" s="42">
        <f>120%*17*B28/B29</f>
        <v>21.674999999999997</v>
      </c>
      <c r="C45" s="43" t="s">
        <v>11</v>
      </c>
      <c r="D45" s="44"/>
      <c r="E45" s="66" t="s">
        <v>85</v>
      </c>
      <c r="F45" s="55">
        <f>(F12*1/50)/(F11*1%)</f>
        <v>133.33333333333334</v>
      </c>
      <c r="G45" s="56" t="s">
        <v>67</v>
      </c>
      <c r="I45" s="4"/>
      <c r="L45" s="4"/>
    </row>
  </sheetData>
  <sheetProtection password="85EF" sheet="1" objects="1" scenarios="1"/>
  <mergeCells count="24">
    <mergeCell ref="D25:D29"/>
    <mergeCell ref="A16:G16"/>
    <mergeCell ref="A24:G24"/>
    <mergeCell ref="A1:G1"/>
    <mergeCell ref="A2:G2"/>
    <mergeCell ref="A5:G5"/>
    <mergeCell ref="A6:C6"/>
    <mergeCell ref="E6:G6"/>
    <mergeCell ref="A3:G3"/>
    <mergeCell ref="A4:G4"/>
    <mergeCell ref="B15:D15"/>
    <mergeCell ref="B23:D23"/>
    <mergeCell ref="D17:D22"/>
    <mergeCell ref="A44:G44"/>
    <mergeCell ref="A43:G43"/>
    <mergeCell ref="A41:G41"/>
    <mergeCell ref="D35:D36"/>
    <mergeCell ref="D38:D39"/>
    <mergeCell ref="D33:G33"/>
    <mergeCell ref="E36:G36"/>
    <mergeCell ref="A37:G37"/>
    <mergeCell ref="A31:G31"/>
    <mergeCell ref="A34:G34"/>
    <mergeCell ref="D32:G32"/>
  </mergeCells>
  <phoneticPr fontId="1" type="noConversion"/>
  <dataValidations count="1">
    <dataValidation type="list" allowBlank="1" showInputMessage="1" showErrorMessage="1" sqref="B14">
      <formula1>"Use PPFC,No PPFC"</formula1>
    </dataValidation>
  </dataValidations>
  <pageMargins left="0.19685039370078741" right="0.19685039370078741" top="0.74803149606299213" bottom="0.74803149606299213" header="0.31496062992125984" footer="0.31496062992125984"/>
  <pageSetup paperSize="9" scale="70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2011-06-04T02:28:22Z</dcterms:modified>
</cp:coreProperties>
</file>